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astasia Documents\Digital Marketing\SEO\Anastasia's Articles\"/>
    </mc:Choice>
  </mc:AlternateContent>
  <bookViews>
    <workbookView xWindow="480" yWindow="315" windowWidth="16035" windowHeight="7725" xr2:uid="{00000000-000D-0000-FFFF-FFFF00000000}"/>
  </bookViews>
  <sheets>
    <sheet name="Hard Money Calculator" sheetId="1" r:id="rId1"/>
    <sheet name="Sheet2" sheetId="2" state="hidden" r:id="rId2"/>
    <sheet name="Sheet3" sheetId="3" state="hidden" r:id="rId3"/>
  </sheets>
  <definedNames>
    <definedName name="_xlnm.Print_Area" localSheetId="0">'Hard Money Calculator'!$A$1:$F$51</definedName>
  </definedNames>
  <calcPr calcId="171027"/>
  <fileRecoveryPr autoRecover="0"/>
</workbook>
</file>

<file path=xl/calcChain.xml><?xml version="1.0" encoding="utf-8"?>
<calcChain xmlns="http://schemas.openxmlformats.org/spreadsheetml/2006/main">
  <c r="B48" i="1" l="1"/>
  <c r="C33" i="1" l="1"/>
  <c r="C23" i="1"/>
  <c r="C21" i="1"/>
  <c r="C20" i="1"/>
  <c r="C19" i="1"/>
  <c r="C16" i="1" l="1"/>
  <c r="C25" i="1" s="1"/>
  <c r="N41" i="1" l="1"/>
  <c r="N27" i="1"/>
  <c r="N26" i="1"/>
  <c r="N25" i="1"/>
  <c r="N20" i="1"/>
  <c r="N19" i="1"/>
  <c r="N40" i="1" s="1"/>
  <c r="N43" i="1" s="1"/>
  <c r="N18" i="1"/>
  <c r="N17" i="1"/>
  <c r="N22" i="1" s="1"/>
  <c r="N51" i="1" l="1"/>
  <c r="N35" i="1"/>
  <c r="N47" i="1"/>
  <c r="N31" i="1"/>
  <c r="N32" i="1" s="1"/>
  <c r="N49" i="1" s="1"/>
  <c r="A59" i="1"/>
  <c r="N50" i="1" l="1"/>
  <c r="N48" i="1"/>
  <c r="N52" i="1" l="1"/>
  <c r="N54" i="1" s="1"/>
  <c r="R25" i="1"/>
  <c r="E45" i="1"/>
  <c r="D45" i="1"/>
  <c r="C32" i="1"/>
  <c r="B45" i="1"/>
  <c r="C71" i="1" s="1"/>
  <c r="C83" i="1" s="1"/>
  <c r="N53" i="1" l="1"/>
  <c r="C29" i="1"/>
  <c r="C35" i="1"/>
  <c r="C54" i="1"/>
  <c r="C66" i="1"/>
  <c r="C79" i="1" s="1"/>
  <c r="C58" i="1"/>
  <c r="C80" i="1" l="1"/>
  <c r="C82" i="1" s="1"/>
  <c r="E42" i="1"/>
  <c r="C56" i="1"/>
  <c r="C57" i="1"/>
  <c r="C55" i="1"/>
  <c r="C67" i="1"/>
  <c r="R27" i="1" l="1"/>
  <c r="C84" i="1"/>
  <c r="E44" i="1"/>
  <c r="C59" i="1"/>
  <c r="C61" i="1" s="1"/>
  <c r="C70" i="1"/>
  <c r="D44" i="1" s="1"/>
  <c r="C68" i="1"/>
  <c r="D42" i="1" s="1"/>
  <c r="R28" i="1" l="1"/>
  <c r="R29" i="1" s="1"/>
  <c r="R30" i="1" s="1"/>
  <c r="C86" i="1"/>
  <c r="E46" i="1"/>
  <c r="E48" i="1" s="1"/>
  <c r="C85" i="1"/>
  <c r="E47" i="1" s="1"/>
  <c r="C72" i="1"/>
  <c r="C60" i="1"/>
  <c r="C74" i="1" l="1"/>
  <c r="D46" i="1"/>
  <c r="D48" i="1" s="1"/>
  <c r="C73" i="1"/>
  <c r="D47" i="1" s="1"/>
  <c r="C26" i="1"/>
  <c r="C43" i="1" s="1"/>
  <c r="R31" i="1" l="1"/>
  <c r="B44" i="1" s="1"/>
  <c r="B46" i="1" s="1"/>
  <c r="B47" i="1" s="1"/>
  <c r="A3" i="2"/>
  <c r="R26" i="1"/>
  <c r="B42" i="1" l="1"/>
  <c r="B41" i="1"/>
  <c r="C65" i="1" l="1"/>
  <c r="C53" i="1" s="1"/>
  <c r="C78" i="1" s="1"/>
  <c r="A4" i="2"/>
  <c r="C37" i="1"/>
</calcChain>
</file>

<file path=xl/sharedStrings.xml><?xml version="1.0" encoding="utf-8"?>
<sst xmlns="http://schemas.openxmlformats.org/spreadsheetml/2006/main" count="123" uniqueCount="73">
  <si>
    <t>Purchase Price</t>
  </si>
  <si>
    <t>Renovation Costs</t>
  </si>
  <si>
    <t>After Repair Value</t>
  </si>
  <si>
    <t>Purchase Costs</t>
  </si>
  <si>
    <t>Holding Costs</t>
  </si>
  <si>
    <t>Selling Costs</t>
  </si>
  <si>
    <t>Total Loan Amount</t>
  </si>
  <si>
    <t>Total Selling Costs</t>
  </si>
  <si>
    <t>Selling Price</t>
  </si>
  <si>
    <t>Return on Investment</t>
  </si>
  <si>
    <t>Total Purchase Costs</t>
  </si>
  <si>
    <t>Total Funds From You At Closing</t>
  </si>
  <si>
    <t>Total Purchase, Renovation and Closing Costs</t>
  </si>
  <si>
    <t xml:space="preserve">Total Project Costs Including Purchase Price, </t>
  </si>
  <si>
    <t>Renovation, Purchasing, Holding and Selling Costs</t>
  </si>
  <si>
    <t>Net Profit to Each Partner</t>
  </si>
  <si>
    <t>Return on Investment (ROI)</t>
  </si>
  <si>
    <t>Annualized Return on Cash</t>
  </si>
  <si>
    <t>REHAB / RENOVATION ESTIMATE</t>
  </si>
  <si>
    <t>Property Address:</t>
  </si>
  <si>
    <t xml:space="preserve">Borrower Name: </t>
  </si>
  <si>
    <t>months</t>
  </si>
  <si>
    <t>Deal Summary</t>
  </si>
  <si>
    <t>Total Project Costs Including Purchase Price, Renovation, Purchasing, Holding and Selling Costs</t>
  </si>
  <si>
    <t>Total Funds At Closing</t>
  </si>
  <si>
    <t>Your Share of Funds Needed At Closing</t>
  </si>
  <si>
    <t>Net Profit</t>
  </si>
  <si>
    <t>(profits split equally at 33%)</t>
  </si>
  <si>
    <t>Scenario 2:  Joint Venture with 2 partners</t>
  </si>
  <si>
    <t>(profits split equally at 50%)</t>
  </si>
  <si>
    <t>Scenario 3:  Fully Self-Funded with CASH</t>
  </si>
  <si>
    <r>
      <t xml:space="preserve">New Funding Resources LLC  </t>
    </r>
    <r>
      <rPr>
        <sz val="10"/>
        <color rgb="FF009900"/>
        <rFont val="Calibri"/>
        <family val="2"/>
        <scheme val="minor"/>
      </rPr>
      <t>|</t>
    </r>
    <r>
      <rPr>
        <sz val="10"/>
        <color rgb="FF365F91"/>
        <rFont val="Calibri"/>
        <family val="2"/>
        <scheme val="minor"/>
      </rPr>
      <t xml:space="preserve">  806 W. Diamond Ave., Suite 340  </t>
    </r>
    <r>
      <rPr>
        <sz val="10"/>
        <color rgb="FF009900"/>
        <rFont val="Calibri"/>
        <family val="2"/>
        <scheme val="minor"/>
      </rPr>
      <t>|</t>
    </r>
    <r>
      <rPr>
        <sz val="10"/>
        <color rgb="FF365F91"/>
        <rFont val="Calibri"/>
        <family val="2"/>
        <scheme val="minor"/>
      </rPr>
      <t xml:space="preserve">  Gaithersburg, MD 20878  </t>
    </r>
    <r>
      <rPr>
        <sz val="10"/>
        <color rgb="FF009900"/>
        <rFont val="Calibri"/>
        <family val="2"/>
        <scheme val="minor"/>
      </rPr>
      <t>|</t>
    </r>
    <r>
      <rPr>
        <sz val="10"/>
        <color rgb="FF365F91"/>
        <rFont val="Calibri"/>
        <family val="2"/>
        <scheme val="minor"/>
      </rPr>
      <t xml:space="preserve">  P. (240) 436-2340</t>
    </r>
  </si>
  <si>
    <r>
      <t>www.newfundingresources.com</t>
    </r>
    <r>
      <rPr>
        <b/>
        <sz val="11"/>
        <color rgb="FF00B050"/>
        <rFont val="Times New Roman"/>
        <family val="1"/>
      </rPr>
      <t xml:space="preserve"> </t>
    </r>
  </si>
  <si>
    <t>Property Taxes</t>
  </si>
  <si>
    <t>Property Insurance</t>
  </si>
  <si>
    <t>Loan Term (Months)</t>
  </si>
  <si>
    <t>NFR Max Loan Amount</t>
  </si>
  <si>
    <t>Closing Costs</t>
  </si>
  <si>
    <t>Transfer / Recordation Taxes</t>
  </si>
  <si>
    <t>(during holding time)</t>
  </si>
  <si>
    <t>Agent Commissions</t>
  </si>
  <si>
    <t>Contributions to New Buyer</t>
  </si>
  <si>
    <t>NFR MAX Loan Amount</t>
  </si>
  <si>
    <t>Cash You Need at Closing</t>
  </si>
  <si>
    <t>Total Project Costs</t>
  </si>
  <si>
    <t xml:space="preserve">Scenario 1: </t>
  </si>
  <si>
    <t>NFR Loan</t>
  </si>
  <si>
    <t xml:space="preserve">Scenario 2: </t>
  </si>
  <si>
    <t xml:space="preserve">Scenario 3: </t>
  </si>
  <si>
    <t>50/50 Partner</t>
  </si>
  <si>
    <t>All Cash</t>
  </si>
  <si>
    <t>-</t>
  </si>
  <si>
    <t>`</t>
  </si>
  <si>
    <t>New Funding Resources LLC  |  806 W. Diamond Ave., Suite 340  |  Gaithersburg, MD 20878  |  P. (240) 436-2340</t>
  </si>
  <si>
    <r>
      <t>www.newfundingresources.com</t>
    </r>
    <r>
      <rPr>
        <b/>
        <sz val="11"/>
        <color theme="0"/>
        <rFont val="Times New Roman"/>
        <family val="1"/>
      </rPr>
      <t xml:space="preserve"> </t>
    </r>
  </si>
  <si>
    <t>NFR Loan Amount</t>
  </si>
  <si>
    <t>Rehab Costs Financed by NFR</t>
  </si>
  <si>
    <t>Total Cash at Closing</t>
  </si>
  <si>
    <t>Rehab Costs Fin. By Borrower</t>
  </si>
  <si>
    <t>Total Construction Requirements</t>
  </si>
  <si>
    <t>Construction Held in Reserves</t>
  </si>
  <si>
    <t>Traditional Lender Points</t>
  </si>
  <si>
    <t>Traditional Lender Interest Rate</t>
  </si>
  <si>
    <t>Monthly Loan Payment</t>
  </si>
  <si>
    <t>Max Loan Amount</t>
  </si>
  <si>
    <t>Loan Interest Rate</t>
  </si>
  <si>
    <t>Lender Points</t>
  </si>
  <si>
    <t>MAX Loan Amount</t>
  </si>
  <si>
    <t>September 2018 version</t>
  </si>
  <si>
    <t xml:space="preserve">Rough estimate only  </t>
  </si>
  <si>
    <t xml:space="preserve">Consult you title company / </t>
  </si>
  <si>
    <t xml:space="preserve">tax records for more </t>
  </si>
  <si>
    <t>accurate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</si>
</sst>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sz val="10"/>
      <color rgb="FF365F91"/>
      <name val="Calibri"/>
      <family val="2"/>
      <scheme val="minor"/>
    </font>
    <font>
      <sz val="10"/>
      <color rgb="FF0099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Times New Roman"/>
      <family val="1"/>
    </font>
    <font>
      <sz val="11"/>
      <color theme="1" tint="4.9989318521683403E-2"/>
      <name val="Calibri"/>
      <family val="2"/>
      <scheme val="minor"/>
    </font>
    <font>
      <i/>
      <sz val="8"/>
      <color theme="4" tint="-0.249977111117893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8"/>
      <color theme="4" tint="-0.249977111117893"/>
      <name val="Calibri"/>
      <family val="2"/>
      <scheme val="minor"/>
    </font>
    <font>
      <i/>
      <sz val="8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3" tint="-0.249977111117893"/>
      </right>
      <top/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indexed="64"/>
      </right>
      <top style="thin">
        <color theme="4" tint="-0.249977111117893"/>
      </top>
      <bottom style="thin">
        <color theme="4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 applyBorder="1"/>
    <xf numFmtId="0" fontId="6" fillId="2" borderId="0" xfId="0" applyFont="1" applyFill="1" applyBorder="1"/>
    <xf numFmtId="164" fontId="6" fillId="2" borderId="0" xfId="1" applyNumberFormat="1" applyFont="1" applyFill="1" applyBorder="1"/>
    <xf numFmtId="9" fontId="6" fillId="2" borderId="0" xfId="0" applyNumberFormat="1" applyFont="1" applyFill="1" applyBorder="1"/>
    <xf numFmtId="0" fontId="7" fillId="2" borderId="0" xfId="0" applyFont="1" applyFill="1" applyBorder="1"/>
    <xf numFmtId="9" fontId="7" fillId="2" borderId="0" xfId="0" applyNumberFormat="1" applyFont="1" applyFill="1" applyBorder="1"/>
    <xf numFmtId="164" fontId="7" fillId="2" borderId="0" xfId="1" applyNumberFormat="1" applyFont="1" applyFill="1" applyBorder="1"/>
    <xf numFmtId="0" fontId="8" fillId="2" borderId="0" xfId="0" applyFont="1" applyFill="1" applyBorder="1"/>
    <xf numFmtId="164" fontId="6" fillId="2" borderId="2" xfId="1" applyNumberFormat="1" applyFont="1" applyFill="1" applyBorder="1"/>
    <xf numFmtId="0" fontId="6" fillId="2" borderId="2" xfId="0" applyFont="1" applyFill="1" applyBorder="1"/>
    <xf numFmtId="0" fontId="3" fillId="2" borderId="0" xfId="0" applyFont="1" applyFill="1" applyBorder="1"/>
    <xf numFmtId="10" fontId="3" fillId="2" borderId="0" xfId="0" applyNumberFormat="1" applyFont="1" applyFill="1" applyBorder="1"/>
    <xf numFmtId="9" fontId="2" fillId="2" borderId="0" xfId="0" applyNumberFormat="1" applyFont="1" applyFill="1" applyBorder="1"/>
    <xf numFmtId="0" fontId="14" fillId="2" borderId="0" xfId="0" applyFont="1" applyFill="1" applyBorder="1"/>
    <xf numFmtId="0" fontId="13" fillId="2" borderId="0" xfId="0" applyFont="1" applyFill="1" applyBorder="1"/>
    <xf numFmtId="9" fontId="13" fillId="2" borderId="0" xfId="0" applyNumberFormat="1" applyFont="1" applyFill="1" applyBorder="1"/>
    <xf numFmtId="44" fontId="13" fillId="2" borderId="0" xfId="0" applyNumberFormat="1" applyFont="1" applyFill="1" applyBorder="1"/>
    <xf numFmtId="164" fontId="13" fillId="2" borderId="0" xfId="0" applyNumberFormat="1" applyFont="1" applyFill="1" applyBorder="1"/>
    <xf numFmtId="0" fontId="15" fillId="2" borderId="0" xfId="0" applyFont="1" applyFill="1" applyBorder="1"/>
    <xf numFmtId="164" fontId="3" fillId="2" borderId="0" xfId="1" applyNumberFormat="1" applyFont="1" applyFill="1" applyBorder="1"/>
    <xf numFmtId="0" fontId="16" fillId="2" borderId="0" xfId="0" applyFont="1" applyFill="1" applyBorder="1" applyAlignment="1">
      <alignment horizontal="left" wrapText="1"/>
    </xf>
    <xf numFmtId="164" fontId="3" fillId="2" borderId="0" xfId="0" applyNumberFormat="1" applyFont="1" applyFill="1" applyBorder="1"/>
    <xf numFmtId="0" fontId="16" fillId="0" borderId="0" xfId="0" applyFont="1" applyAlignment="1">
      <alignment horizontal="left" readingOrder="1"/>
    </xf>
    <xf numFmtId="0" fontId="2" fillId="0" borderId="0" xfId="0" applyFont="1" applyAlignment="1">
      <alignment horizontal="right" readingOrder="1"/>
    </xf>
    <xf numFmtId="0" fontId="0" fillId="2" borderId="3" xfId="0" applyFill="1" applyBorder="1"/>
    <xf numFmtId="0" fontId="6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/>
    </xf>
    <xf numFmtId="164" fontId="6" fillId="3" borderId="4" xfId="1" applyNumberFormat="1" applyFont="1" applyFill="1" applyBorder="1"/>
    <xf numFmtId="164" fontId="7" fillId="3" borderId="4" xfId="1" applyNumberFormat="1" applyFont="1" applyFill="1" applyBorder="1"/>
    <xf numFmtId="9" fontId="6" fillId="3" borderId="4" xfId="2" applyFont="1" applyFill="1" applyBorder="1"/>
    <xf numFmtId="0" fontId="6" fillId="2" borderId="4" xfId="0" applyFont="1" applyFill="1" applyBorder="1"/>
    <xf numFmtId="0" fontId="6" fillId="2" borderId="1" xfId="0" applyFont="1" applyFill="1" applyBorder="1"/>
    <xf numFmtId="0" fontId="6" fillId="2" borderId="5" xfId="0" applyFont="1" applyFill="1" applyBorder="1"/>
    <xf numFmtId="9" fontId="3" fillId="2" borderId="0" xfId="2" applyFont="1" applyFill="1" applyBorder="1"/>
    <xf numFmtId="165" fontId="6" fillId="2" borderId="0" xfId="0" applyNumberFormat="1" applyFont="1" applyFill="1" applyBorder="1"/>
    <xf numFmtId="9" fontId="3" fillId="2" borderId="0" xfId="0" applyNumberFormat="1" applyFont="1" applyFill="1" applyBorder="1"/>
    <xf numFmtId="0" fontId="6" fillId="2" borderId="6" xfId="0" applyFont="1" applyFill="1" applyBorder="1"/>
    <xf numFmtId="164" fontId="6" fillId="2" borderId="7" xfId="0" applyNumberFormat="1" applyFont="1" applyFill="1" applyBorder="1"/>
    <xf numFmtId="0" fontId="0" fillId="2" borderId="8" xfId="0" applyFill="1" applyBorder="1"/>
    <xf numFmtId="164" fontId="6" fillId="2" borderId="9" xfId="0" applyNumberFormat="1" applyFont="1" applyFill="1" applyBorder="1"/>
    <xf numFmtId="0" fontId="0" fillId="2" borderId="10" xfId="0" applyFill="1" applyBorder="1"/>
    <xf numFmtId="164" fontId="6" fillId="2" borderId="11" xfId="0" applyNumberFormat="1" applyFont="1" applyFill="1" applyBorder="1"/>
    <xf numFmtId="164" fontId="6" fillId="2" borderId="12" xfId="0" applyNumberFormat="1" applyFont="1" applyFill="1" applyBorder="1"/>
    <xf numFmtId="0" fontId="18" fillId="2" borderId="0" xfId="0" applyFont="1" applyFill="1" applyBorder="1"/>
    <xf numFmtId="164" fontId="18" fillId="2" borderId="11" xfId="0" applyNumberFormat="1" applyFont="1" applyFill="1" applyBorder="1"/>
    <xf numFmtId="9" fontId="6" fillId="2" borderId="0" xfId="2" applyFont="1" applyFill="1" applyBorder="1"/>
    <xf numFmtId="3" fontId="0" fillId="0" borderId="0" xfId="0" applyNumberFormat="1"/>
    <xf numFmtId="0" fontId="0" fillId="2" borderId="13" xfId="0" applyFill="1" applyBorder="1"/>
    <xf numFmtId="0" fontId="0" fillId="2" borderId="14" xfId="0" applyFill="1" applyBorder="1"/>
    <xf numFmtId="0" fontId="5" fillId="2" borderId="14" xfId="0" applyFont="1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7" xfId="0" applyFill="1" applyBorder="1"/>
    <xf numFmtId="0" fontId="4" fillId="2" borderId="9" xfId="0" applyFont="1" applyFill="1" applyBorder="1" applyAlignment="1">
      <alignment horizontal="right"/>
    </xf>
    <xf numFmtId="0" fontId="0" fillId="2" borderId="9" xfId="0" applyFill="1" applyBorder="1"/>
    <xf numFmtId="0" fontId="5" fillId="2" borderId="8" xfId="0" applyFont="1" applyFill="1" applyBorder="1"/>
    <xf numFmtId="0" fontId="5" fillId="2" borderId="16" xfId="0" applyFont="1" applyFill="1" applyBorder="1"/>
    <xf numFmtId="0" fontId="0" fillId="2" borderId="16" xfId="0" applyFill="1" applyBorder="1"/>
    <xf numFmtId="0" fontId="8" fillId="2" borderId="8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7" fillId="2" borderId="8" xfId="0" applyFont="1" applyFill="1" applyBorder="1"/>
    <xf numFmtId="9" fontId="7" fillId="2" borderId="9" xfId="0" applyNumberFormat="1" applyFont="1" applyFill="1" applyBorder="1"/>
    <xf numFmtId="0" fontId="19" fillId="2" borderId="9" xfId="0" applyFont="1" applyFill="1" applyBorder="1"/>
    <xf numFmtId="0" fontId="14" fillId="2" borderId="8" xfId="0" applyFont="1" applyFill="1" applyBorder="1"/>
    <xf numFmtId="0" fontId="11" fillId="0" borderId="13" xfId="0" applyFont="1" applyBorder="1" applyAlignment="1">
      <alignment horizontal="right" readingOrder="1"/>
    </xf>
    <xf numFmtId="0" fontId="0" fillId="2" borderId="11" xfId="0" applyFill="1" applyBorder="1"/>
    <xf numFmtId="0" fontId="9" fillId="0" borderId="17" xfId="0" applyFont="1" applyBorder="1" applyAlignment="1">
      <alignment horizontal="left" readingOrder="1"/>
    </xf>
    <xf numFmtId="0" fontId="0" fillId="2" borderId="18" xfId="0" applyFill="1" applyBorder="1"/>
    <xf numFmtId="0" fontId="0" fillId="2" borderId="19" xfId="0" applyFill="1" applyBorder="1"/>
    <xf numFmtId="164" fontId="6" fillId="2" borderId="20" xfId="1" applyNumberFormat="1" applyFont="1" applyFill="1" applyBorder="1"/>
    <xf numFmtId="164" fontId="6" fillId="2" borderId="21" xfId="1" applyNumberFormat="1" applyFont="1" applyFill="1" applyBorder="1"/>
    <xf numFmtId="0" fontId="6" fillId="2" borderId="20" xfId="0" applyFont="1" applyFill="1" applyBorder="1"/>
    <xf numFmtId="0" fontId="7" fillId="2" borderId="20" xfId="0" applyFont="1" applyFill="1" applyBorder="1" applyAlignment="1">
      <alignment horizontal="center"/>
    </xf>
    <xf numFmtId="164" fontId="6" fillId="3" borderId="20" xfId="1" applyNumberFormat="1" applyFont="1" applyFill="1" applyBorder="1"/>
    <xf numFmtId="0" fontId="0" fillId="2" borderId="20" xfId="0" applyFill="1" applyBorder="1" applyAlignment="1">
      <alignment horizontal="center"/>
    </xf>
    <xf numFmtId="164" fontId="7" fillId="2" borderId="20" xfId="1" applyNumberFormat="1" applyFont="1" applyFill="1" applyBorder="1"/>
    <xf numFmtId="9" fontId="6" fillId="2" borderId="20" xfId="2" applyFont="1" applyFill="1" applyBorder="1"/>
    <xf numFmtId="9" fontId="0" fillId="0" borderId="0" xfId="0" applyNumberFormat="1"/>
    <xf numFmtId="10" fontId="0" fillId="0" borderId="0" xfId="0" applyNumberFormat="1"/>
    <xf numFmtId="165" fontId="20" fillId="2" borderId="0" xfId="0" applyNumberFormat="1" applyFont="1" applyFill="1" applyBorder="1"/>
    <xf numFmtId="9" fontId="21" fillId="2" borderId="0" xfId="0" applyNumberFormat="1" applyFont="1" applyFill="1" applyBorder="1"/>
    <xf numFmtId="0" fontId="20" fillId="2" borderId="0" xfId="0" applyFont="1" applyFill="1" applyBorder="1"/>
    <xf numFmtId="9" fontId="22" fillId="2" borderId="9" xfId="0" applyNumberFormat="1" applyFont="1" applyFill="1" applyBorder="1"/>
    <xf numFmtId="0" fontId="23" fillId="2" borderId="0" xfId="0" applyFont="1" applyFill="1" applyBorder="1" applyAlignment="1">
      <alignment horizontal="right"/>
    </xf>
    <xf numFmtId="0" fontId="23" fillId="2" borderId="9" xfId="0" applyFont="1" applyFill="1" applyBorder="1" applyAlignment="1">
      <alignment horizontal="right"/>
    </xf>
    <xf numFmtId="0" fontId="0" fillId="2" borderId="24" xfId="0" applyFill="1" applyBorder="1"/>
    <xf numFmtId="0" fontId="7" fillId="3" borderId="25" xfId="0" applyFont="1" applyFill="1" applyBorder="1" applyAlignment="1">
      <alignment horizontal="center"/>
    </xf>
    <xf numFmtId="0" fontId="6" fillId="2" borderId="24" xfId="0" applyFont="1" applyFill="1" applyBorder="1"/>
    <xf numFmtId="164" fontId="6" fillId="3" borderId="25" xfId="1" applyNumberFormat="1" applyFont="1" applyFill="1" applyBorder="1"/>
    <xf numFmtId="164" fontId="7" fillId="3" borderId="25" xfId="1" applyNumberFormat="1" applyFont="1" applyFill="1" applyBorder="1"/>
    <xf numFmtId="0" fontId="5" fillId="2" borderId="24" xfId="0" applyFont="1" applyFill="1" applyBorder="1" applyAlignment="1">
      <alignment wrapText="1"/>
    </xf>
    <xf numFmtId="9" fontId="6" fillId="3" borderId="25" xfId="2" applyFont="1" applyFill="1" applyBorder="1"/>
    <xf numFmtId="164" fontId="7" fillId="3" borderId="22" xfId="1" applyNumberFormat="1" applyFont="1" applyFill="1" applyBorder="1" applyAlignment="1">
      <alignment horizontal="center"/>
    </xf>
    <xf numFmtId="164" fontId="7" fillId="3" borderId="23" xfId="1" applyNumberFormat="1" applyFont="1" applyFill="1" applyBorder="1" applyAlignment="1">
      <alignment horizontal="center"/>
    </xf>
    <xf numFmtId="9" fontId="6" fillId="3" borderId="22" xfId="2" applyFont="1" applyFill="1" applyBorder="1" applyAlignment="1">
      <alignment horizontal="right"/>
    </xf>
    <xf numFmtId="9" fontId="6" fillId="3" borderId="23" xfId="2" applyFont="1" applyFill="1" applyBorder="1" applyAlignment="1">
      <alignment horizontal="right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164" fontId="6" fillId="3" borderId="22" xfId="1" applyNumberFormat="1" applyFont="1" applyFill="1" applyBorder="1" applyAlignment="1">
      <alignment horizontal="center"/>
    </xf>
    <xf numFmtId="164" fontId="6" fillId="3" borderId="23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91440</xdr:rowOff>
    </xdr:from>
    <xdr:to>
      <xdr:col>1</xdr:col>
      <xdr:colOff>182880</xdr:colOff>
      <xdr:row>2</xdr:row>
      <xdr:rowOff>158115</xdr:rowOff>
    </xdr:to>
    <xdr:pic>
      <xdr:nvPicPr>
        <xdr:cNvPr id="3" name="Picture 2" descr="Logo NFR New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" y="91440"/>
          <a:ext cx="1821180" cy="523875"/>
        </a:xfrm>
        <a:prstGeom prst="rect">
          <a:avLst/>
        </a:prstGeom>
      </xdr:spPr>
    </xdr:pic>
    <xdr:clientData/>
  </xdr:twoCellAnchor>
  <xdr:twoCellAnchor>
    <xdr:from>
      <xdr:col>3</xdr:col>
      <xdr:colOff>205740</xdr:colOff>
      <xdr:row>20</xdr:row>
      <xdr:rowOff>30480</xdr:rowOff>
    </xdr:from>
    <xdr:to>
      <xdr:col>3</xdr:col>
      <xdr:colOff>975360</xdr:colOff>
      <xdr:row>21</xdr:row>
      <xdr:rowOff>38100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60285AE-EFB8-42FF-8620-29B9099FE013}"/>
            </a:ext>
          </a:extLst>
        </xdr:cNvPr>
        <xdr:cNvCxnSpPr/>
      </xdr:nvCxnSpPr>
      <xdr:spPr>
        <a:xfrm flipV="1">
          <a:off x="3672840" y="3467100"/>
          <a:ext cx="769620" cy="1981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topLeftCell="A35" zoomScale="125" zoomScaleNormal="125" workbookViewId="0">
      <selection activeCell="I7" sqref="I7"/>
    </sheetView>
  </sheetViews>
  <sheetFormatPr defaultRowHeight="15" x14ac:dyDescent="0.25"/>
  <cols>
    <col min="1" max="1" width="24.85546875" style="1" customWidth="1"/>
    <col min="2" max="2" width="6" style="1" customWidth="1"/>
    <col min="3" max="3" width="21" style="1" customWidth="1"/>
    <col min="4" max="4" width="16.28515625" style="1" customWidth="1"/>
    <col min="5" max="5" width="22.42578125" style="1" customWidth="1"/>
    <col min="6" max="7" width="0.85546875" style="15" customWidth="1"/>
    <col min="8" max="8" width="8.85546875" style="15" customWidth="1"/>
    <col min="9" max="9" width="6.85546875" style="15" customWidth="1"/>
    <col min="10" max="10" width="7.28515625" style="15" hidden="1" customWidth="1"/>
    <col min="11" max="11" width="9.140625" style="15" hidden="1" customWidth="1"/>
    <col min="12" max="12" width="41.7109375" style="15" hidden="1" customWidth="1"/>
    <col min="13" max="13" width="6.140625" style="15" hidden="1" customWidth="1"/>
    <col min="14" max="14" width="11" style="15" hidden="1" customWidth="1"/>
    <col min="15" max="16" width="9.140625" style="1" hidden="1" customWidth="1"/>
    <col min="17" max="17" width="30.85546875" style="1" hidden="1" customWidth="1"/>
    <col min="18" max="18" width="10" style="1" hidden="1" customWidth="1"/>
    <col min="19" max="19" width="9.140625" style="1" hidden="1" customWidth="1"/>
    <col min="20" max="23" width="0" style="1" hidden="1" customWidth="1"/>
    <col min="24" max="16384" width="9.140625" style="1"/>
  </cols>
  <sheetData>
    <row r="1" spans="1:14" x14ac:dyDescent="0.25">
      <c r="A1" s="52"/>
      <c r="B1" s="53"/>
      <c r="C1" s="53"/>
      <c r="D1" s="53"/>
      <c r="E1" s="54"/>
      <c r="I1" s="11"/>
      <c r="J1" s="11"/>
      <c r="K1" s="11"/>
      <c r="L1" s="11"/>
      <c r="M1" s="11"/>
      <c r="N1" s="11"/>
    </row>
    <row r="2" spans="1:14" ht="21" x14ac:dyDescent="0.35">
      <c r="A2" s="40"/>
      <c r="E2" s="55" t="s">
        <v>18</v>
      </c>
      <c r="I2" s="11"/>
      <c r="J2" s="11"/>
      <c r="K2" s="11"/>
      <c r="L2" s="11"/>
      <c r="M2" s="11"/>
      <c r="N2" s="11"/>
    </row>
    <row r="3" spans="1:14" ht="12.75" customHeight="1" x14ac:dyDescent="0.25">
      <c r="A3" s="40"/>
      <c r="D3" s="86" t="s">
        <v>68</v>
      </c>
      <c r="E3" s="87"/>
      <c r="I3" s="11"/>
      <c r="J3" s="11"/>
      <c r="K3" s="11"/>
      <c r="L3" s="8"/>
      <c r="M3" s="1"/>
      <c r="N3" s="1"/>
    </row>
    <row r="4" spans="1:14" ht="8.25" customHeight="1" x14ac:dyDescent="0.25">
      <c r="A4" s="40"/>
      <c r="E4" s="56"/>
      <c r="I4" s="11"/>
      <c r="J4" s="11"/>
      <c r="K4" s="11"/>
      <c r="L4" s="2"/>
      <c r="M4" s="2"/>
      <c r="N4" s="3"/>
    </row>
    <row r="5" spans="1:14" x14ac:dyDescent="0.25">
      <c r="A5" s="57" t="s">
        <v>19</v>
      </c>
      <c r="B5" s="50"/>
      <c r="C5" s="51"/>
      <c r="D5" s="51"/>
      <c r="E5" s="58"/>
      <c r="I5" s="11"/>
      <c r="J5" s="11"/>
      <c r="K5" s="11"/>
      <c r="L5" s="2"/>
      <c r="M5" s="2"/>
      <c r="N5" s="3"/>
    </row>
    <row r="6" spans="1:14" x14ac:dyDescent="0.25">
      <c r="A6" s="57"/>
      <c r="E6" s="56"/>
      <c r="I6" s="11"/>
      <c r="J6" s="11"/>
      <c r="K6" s="11"/>
      <c r="L6" s="2"/>
      <c r="M6" s="2"/>
      <c r="N6" s="3"/>
    </row>
    <row r="7" spans="1:14" x14ac:dyDescent="0.25">
      <c r="A7" s="57" t="s">
        <v>20</v>
      </c>
      <c r="B7" s="50"/>
      <c r="C7" s="51"/>
      <c r="D7" s="50"/>
      <c r="E7" s="59"/>
      <c r="I7" s="11"/>
      <c r="J7" s="11"/>
      <c r="K7" s="11"/>
      <c r="L7" s="2"/>
      <c r="M7" s="2"/>
      <c r="N7" s="2"/>
    </row>
    <row r="8" spans="1:14" ht="11.25" customHeight="1" x14ac:dyDescent="0.25">
      <c r="A8" s="40"/>
      <c r="E8" s="56"/>
      <c r="I8" s="11"/>
      <c r="J8" s="11"/>
      <c r="K8" s="11"/>
      <c r="L8" s="2"/>
      <c r="M8" s="2"/>
      <c r="N8" s="2"/>
    </row>
    <row r="9" spans="1:14" ht="8.25" customHeight="1" x14ac:dyDescent="0.25">
      <c r="A9" s="40"/>
      <c r="E9" s="56"/>
      <c r="I9" s="11"/>
      <c r="J9" s="11"/>
      <c r="K9" s="11"/>
      <c r="L9" s="5"/>
      <c r="M9" s="6"/>
      <c r="N9" s="7"/>
    </row>
    <row r="10" spans="1:14" x14ac:dyDescent="0.25">
      <c r="A10" s="60" t="s">
        <v>22</v>
      </c>
      <c r="E10" s="56"/>
      <c r="I10" s="11"/>
      <c r="J10" s="11"/>
      <c r="K10" s="11"/>
      <c r="L10" s="2"/>
      <c r="M10" s="4"/>
      <c r="N10" s="2"/>
    </row>
    <row r="11" spans="1:14" x14ac:dyDescent="0.25">
      <c r="A11" s="61" t="s">
        <v>0</v>
      </c>
      <c r="B11" s="2"/>
      <c r="C11" s="3">
        <v>200000</v>
      </c>
      <c r="E11" s="56"/>
      <c r="I11" s="11"/>
      <c r="J11" s="11"/>
      <c r="K11" s="11"/>
      <c r="L11" s="8"/>
      <c r="M11" s="2"/>
      <c r="N11" s="2"/>
    </row>
    <row r="12" spans="1:14" x14ac:dyDescent="0.25">
      <c r="A12" s="61" t="s">
        <v>1</v>
      </c>
      <c r="B12" s="2"/>
      <c r="C12" s="3">
        <v>40000</v>
      </c>
      <c r="E12" s="56"/>
      <c r="I12" s="11"/>
      <c r="J12" s="11"/>
      <c r="K12" s="11"/>
      <c r="L12" s="2"/>
      <c r="M12" s="12"/>
      <c r="N12" s="3"/>
    </row>
    <row r="13" spans="1:14" x14ac:dyDescent="0.25">
      <c r="A13" s="61" t="s">
        <v>2</v>
      </c>
      <c r="B13" s="2"/>
      <c r="C13" s="3">
        <v>350000</v>
      </c>
      <c r="E13" s="41"/>
      <c r="I13" s="11"/>
      <c r="J13" s="37">
        <v>0.12</v>
      </c>
      <c r="K13" s="11"/>
      <c r="L13" s="2"/>
      <c r="M13" s="12"/>
      <c r="N13" s="3"/>
    </row>
    <row r="14" spans="1:14" x14ac:dyDescent="0.25">
      <c r="A14" s="61" t="s">
        <v>35</v>
      </c>
      <c r="B14" s="2"/>
      <c r="C14" s="2">
        <v>12</v>
      </c>
      <c r="D14" s="2" t="s">
        <v>21</v>
      </c>
      <c r="E14" s="56"/>
      <c r="I14" s="11"/>
      <c r="J14" s="12">
        <v>0.125</v>
      </c>
      <c r="K14" s="11"/>
      <c r="L14" s="2"/>
      <c r="M14" s="12"/>
      <c r="N14" s="3"/>
    </row>
    <row r="15" spans="1:14" ht="2.25" customHeight="1" x14ac:dyDescent="0.25">
      <c r="A15" s="61"/>
      <c r="B15" s="2"/>
      <c r="C15" s="2"/>
      <c r="E15" s="62"/>
      <c r="I15" s="11"/>
      <c r="J15" s="37">
        <v>0.13</v>
      </c>
      <c r="K15" s="11"/>
      <c r="L15" s="14"/>
      <c r="M15" s="12"/>
      <c r="N15" s="3"/>
    </row>
    <row r="16" spans="1:14" x14ac:dyDescent="0.25">
      <c r="A16" s="63" t="s">
        <v>64</v>
      </c>
      <c r="B16" s="6">
        <v>0.65</v>
      </c>
      <c r="C16" s="7">
        <f>C13*B16</f>
        <v>227500</v>
      </c>
      <c r="E16" s="64"/>
      <c r="I16" s="11"/>
      <c r="J16" s="12">
        <v>0.13500000000000001</v>
      </c>
      <c r="K16" s="11"/>
      <c r="L16" s="8" t="s">
        <v>22</v>
      </c>
      <c r="M16" s="1"/>
      <c r="N16" s="1"/>
    </row>
    <row r="17" spans="1:18" ht="11.25" customHeight="1" x14ac:dyDescent="0.25">
      <c r="A17" s="61"/>
      <c r="B17" s="4"/>
      <c r="C17" s="2"/>
      <c r="E17" s="62"/>
      <c r="G17" s="17"/>
      <c r="I17" s="11"/>
      <c r="J17" s="37">
        <v>0.14000000000000001</v>
      </c>
      <c r="K17" s="11"/>
      <c r="L17" s="2" t="s">
        <v>0</v>
      </c>
      <c r="M17" s="2"/>
      <c r="N17" s="3">
        <f>C11</f>
        <v>200000</v>
      </c>
    </row>
    <row r="18" spans="1:18" x14ac:dyDescent="0.25">
      <c r="A18" s="60" t="s">
        <v>3</v>
      </c>
      <c r="B18" s="2"/>
      <c r="C18" s="2"/>
      <c r="E18" s="64"/>
      <c r="I18" s="11"/>
      <c r="J18" s="11"/>
      <c r="K18" s="11"/>
      <c r="L18" s="2" t="s">
        <v>1</v>
      </c>
      <c r="M18" s="2"/>
      <c r="N18" s="3">
        <f>C12</f>
        <v>40000</v>
      </c>
    </row>
    <row r="19" spans="1:18" x14ac:dyDescent="0.25">
      <c r="A19" s="61" t="s">
        <v>37</v>
      </c>
      <c r="B19" s="12">
        <v>1.2500000000000001E-2</v>
      </c>
      <c r="C19" s="3">
        <f>C11*B19</f>
        <v>2500</v>
      </c>
      <c r="D19" s="47"/>
      <c r="E19" s="65"/>
      <c r="I19" s="11"/>
      <c r="J19" s="37">
        <v>0.02</v>
      </c>
      <c r="K19" s="11"/>
      <c r="L19" s="2" t="s">
        <v>2</v>
      </c>
      <c r="M19" s="2"/>
      <c r="N19" s="3">
        <f>C13</f>
        <v>350000</v>
      </c>
    </row>
    <row r="20" spans="1:18" x14ac:dyDescent="0.25">
      <c r="A20" s="61" t="s">
        <v>38</v>
      </c>
      <c r="B20" s="12">
        <v>1.7500000000000002E-2</v>
      </c>
      <c r="C20" s="3">
        <f>C11*B20</f>
        <v>3500.0000000000005</v>
      </c>
      <c r="D20" s="47"/>
      <c r="E20" s="85" t="s">
        <v>69</v>
      </c>
      <c r="I20" s="11"/>
      <c r="J20" s="12">
        <v>2.5000000000000001E-2</v>
      </c>
      <c r="K20" s="11"/>
      <c r="L20" s="2" t="s">
        <v>35</v>
      </c>
      <c r="M20" s="2"/>
      <c r="N20" s="2">
        <f>C14</f>
        <v>12</v>
      </c>
    </row>
    <row r="21" spans="1:18" x14ac:dyDescent="0.25">
      <c r="A21" s="61" t="s">
        <v>33</v>
      </c>
      <c r="B21" s="12">
        <v>1.7500000000000002E-2</v>
      </c>
      <c r="C21" s="3">
        <f>(B21*C11)/12*C14</f>
        <v>3500</v>
      </c>
      <c r="D21" s="14"/>
      <c r="E21" s="85" t="s">
        <v>70</v>
      </c>
      <c r="I21" s="11"/>
      <c r="J21" s="37">
        <v>0.03</v>
      </c>
      <c r="K21" s="11"/>
      <c r="L21" s="2"/>
      <c r="M21" s="2"/>
      <c r="N21" s="2"/>
    </row>
    <row r="22" spans="1:18" x14ac:dyDescent="0.25">
      <c r="A22" s="66" t="s">
        <v>39</v>
      </c>
      <c r="B22" s="12"/>
      <c r="C22" s="3"/>
      <c r="D22" s="14"/>
      <c r="E22" s="85" t="s">
        <v>71</v>
      </c>
      <c r="I22" s="11"/>
      <c r="J22" s="12">
        <v>3.5000000000000003E-2</v>
      </c>
      <c r="K22" s="11"/>
      <c r="L22" s="5" t="s">
        <v>36</v>
      </c>
      <c r="M22" s="6">
        <v>0.75</v>
      </c>
      <c r="N22" s="7">
        <f>N17*M22</f>
        <v>150000</v>
      </c>
    </row>
    <row r="23" spans="1:18" x14ac:dyDescent="0.25">
      <c r="A23" s="61" t="s">
        <v>34</v>
      </c>
      <c r="B23" s="12">
        <v>0.01</v>
      </c>
      <c r="C23" s="3">
        <f>C11*B23/12*C14</f>
        <v>2000</v>
      </c>
      <c r="D23" s="14"/>
      <c r="E23" s="85" t="s">
        <v>72</v>
      </c>
      <c r="I23" s="11"/>
      <c r="J23" s="37">
        <v>0.04</v>
      </c>
      <c r="K23" s="11"/>
      <c r="L23" s="2"/>
      <c r="M23" s="4"/>
      <c r="N23" s="2"/>
    </row>
    <row r="24" spans="1:18" ht="15.75" thickBot="1" x14ac:dyDescent="0.3">
      <c r="A24" s="66" t="s">
        <v>39</v>
      </c>
      <c r="B24" s="12"/>
      <c r="C24" s="3"/>
      <c r="D24" s="14"/>
      <c r="E24" s="56"/>
      <c r="I24" s="11"/>
      <c r="J24" s="11"/>
      <c r="K24" s="11"/>
      <c r="L24" s="8" t="s">
        <v>3</v>
      </c>
      <c r="M24" s="2"/>
      <c r="N24" s="2"/>
    </row>
    <row r="25" spans="1:18" ht="15.75" thickBot="1" x14ac:dyDescent="0.3">
      <c r="A25" s="61" t="s">
        <v>66</v>
      </c>
      <c r="B25" s="82">
        <v>0.04</v>
      </c>
      <c r="C25" s="73">
        <f>C16*B25</f>
        <v>9100</v>
      </c>
      <c r="E25" s="62"/>
      <c r="I25" s="11"/>
      <c r="J25" s="11"/>
      <c r="K25" s="11"/>
      <c r="L25" s="2" t="s">
        <v>37</v>
      </c>
      <c r="M25" s="12">
        <v>1.2500000000000001E-2</v>
      </c>
      <c r="N25" s="3">
        <f>C19</f>
        <v>2500</v>
      </c>
      <c r="Q25" s="38" t="s">
        <v>55</v>
      </c>
      <c r="R25" s="39">
        <f>C16</f>
        <v>227500</v>
      </c>
    </row>
    <row r="26" spans="1:18" x14ac:dyDescent="0.25">
      <c r="A26" s="63" t="s">
        <v>10</v>
      </c>
      <c r="B26" s="83"/>
      <c r="C26" s="7">
        <f>SUM(C19:C25)</f>
        <v>20600</v>
      </c>
      <c r="E26" s="56"/>
      <c r="I26" s="11"/>
      <c r="J26" s="11"/>
      <c r="K26" s="11"/>
      <c r="L26" s="2" t="s">
        <v>38</v>
      </c>
      <c r="M26" s="12">
        <v>1.7500000000000002E-2</v>
      </c>
      <c r="N26" s="3">
        <f>C20</f>
        <v>3500.0000000000005</v>
      </c>
      <c r="Q26" s="40" t="s">
        <v>37</v>
      </c>
      <c r="R26" s="41">
        <f>C26</f>
        <v>20600</v>
      </c>
    </row>
    <row r="27" spans="1:18" ht="6.75" customHeight="1" x14ac:dyDescent="0.25">
      <c r="A27" s="61"/>
      <c r="B27" s="84"/>
      <c r="C27" s="2"/>
      <c r="E27" s="62"/>
      <c r="I27" s="11"/>
      <c r="J27" s="11"/>
      <c r="K27" s="11"/>
      <c r="L27" s="2" t="s">
        <v>33</v>
      </c>
      <c r="M27" s="12">
        <v>1.7500000000000002E-2</v>
      </c>
      <c r="N27" s="3">
        <f>C21</f>
        <v>3500</v>
      </c>
      <c r="Q27" s="40" t="s">
        <v>56</v>
      </c>
      <c r="R27" s="41">
        <f>G28</f>
        <v>0</v>
      </c>
    </row>
    <row r="28" spans="1:18" ht="15.75" thickBot="1" x14ac:dyDescent="0.3">
      <c r="A28" s="60" t="s">
        <v>4</v>
      </c>
      <c r="B28" s="84"/>
      <c r="C28" s="2"/>
      <c r="E28" s="56"/>
      <c r="I28" s="11"/>
      <c r="J28" s="11"/>
      <c r="K28" s="11"/>
      <c r="L28" s="14" t="s">
        <v>39</v>
      </c>
      <c r="M28" s="12"/>
      <c r="N28" s="3"/>
      <c r="Q28" s="40" t="s">
        <v>58</v>
      </c>
      <c r="R28" s="44">
        <f>C12-R27</f>
        <v>40000</v>
      </c>
    </row>
    <row r="29" spans="1:18" ht="13.5" customHeight="1" thickTop="1" thickBot="1" x14ac:dyDescent="0.3">
      <c r="A29" s="61" t="s">
        <v>65</v>
      </c>
      <c r="B29" s="82">
        <v>0.14000000000000001</v>
      </c>
      <c r="C29" s="3">
        <f>C16*B29/12*C14</f>
        <v>31850.000000000004</v>
      </c>
      <c r="E29" s="56"/>
      <c r="I29" s="11"/>
      <c r="J29" s="11"/>
      <c r="K29" s="11"/>
      <c r="L29" s="2" t="s">
        <v>34</v>
      </c>
      <c r="M29" s="12">
        <v>0.01</v>
      </c>
      <c r="N29" s="3"/>
      <c r="Q29" s="40" t="s">
        <v>59</v>
      </c>
      <c r="R29" s="43">
        <f>R27+R28</f>
        <v>40000</v>
      </c>
    </row>
    <row r="30" spans="1:18" ht="15.75" thickBot="1" x14ac:dyDescent="0.3">
      <c r="A30" s="61"/>
      <c r="B30" s="2"/>
      <c r="C30" s="2"/>
      <c r="E30" s="56"/>
      <c r="G30" s="18"/>
      <c r="H30" s="16"/>
      <c r="I30" s="11"/>
      <c r="J30" s="11"/>
      <c r="K30" s="11"/>
      <c r="L30" s="14" t="s">
        <v>39</v>
      </c>
      <c r="M30" s="12"/>
      <c r="N30" s="3"/>
      <c r="Q30" s="40" t="s">
        <v>60</v>
      </c>
      <c r="R30" s="46">
        <f>R29</f>
        <v>40000</v>
      </c>
    </row>
    <row r="31" spans="1:18" ht="15.75" thickBot="1" x14ac:dyDescent="0.3">
      <c r="A31" s="60" t="s">
        <v>5</v>
      </c>
      <c r="B31" s="2"/>
      <c r="C31" s="2"/>
      <c r="E31" s="56"/>
      <c r="G31" s="18"/>
      <c r="L31" s="2" t="s">
        <v>61</v>
      </c>
      <c r="M31" s="36">
        <v>0.01</v>
      </c>
      <c r="N31" s="9">
        <f>N22*M31</f>
        <v>1500</v>
      </c>
      <c r="Q31" s="42" t="s">
        <v>57</v>
      </c>
      <c r="R31" s="43">
        <f>C11+C26+R30-C16</f>
        <v>33100</v>
      </c>
    </row>
    <row r="32" spans="1:18" x14ac:dyDescent="0.25">
      <c r="A32" s="61" t="s">
        <v>40</v>
      </c>
      <c r="B32" s="82">
        <v>0.04</v>
      </c>
      <c r="C32" s="3">
        <f>B32*C13</f>
        <v>14000</v>
      </c>
      <c r="E32" s="56"/>
      <c r="L32" s="5" t="s">
        <v>10</v>
      </c>
      <c r="M32" s="13"/>
      <c r="N32" s="7">
        <f>SUM(N25:N31)</f>
        <v>11000</v>
      </c>
    </row>
    <row r="33" spans="1:14" x14ac:dyDescent="0.25">
      <c r="A33" s="61" t="s">
        <v>38</v>
      </c>
      <c r="B33" s="12">
        <v>1.2500000000000001E-2</v>
      </c>
      <c r="C33" s="3">
        <f>B33*C13</f>
        <v>4375</v>
      </c>
      <c r="E33" s="56"/>
      <c r="G33" s="45"/>
      <c r="L33" s="2"/>
      <c r="M33" s="2"/>
      <c r="N33" s="2"/>
    </row>
    <row r="34" spans="1:14" x14ac:dyDescent="0.25">
      <c r="A34" s="61" t="s">
        <v>41</v>
      </c>
      <c r="B34" s="2"/>
      <c r="C34" s="2"/>
      <c r="E34" s="56"/>
      <c r="L34" s="8" t="s">
        <v>4</v>
      </c>
      <c r="M34" s="2"/>
      <c r="N34" s="2"/>
    </row>
    <row r="35" spans="1:14" ht="17.25" customHeight="1" x14ac:dyDescent="0.25">
      <c r="A35" s="63" t="s">
        <v>7</v>
      </c>
      <c r="B35" s="5"/>
      <c r="C35" s="7">
        <f>SUM(C32:C34)</f>
        <v>18375</v>
      </c>
      <c r="E35" s="62"/>
      <c r="G35" s="18"/>
      <c r="L35" s="2" t="s">
        <v>62</v>
      </c>
      <c r="M35" s="36">
        <v>6.5000000000000002E-2</v>
      </c>
      <c r="N35" s="3">
        <f>N22*M35/12*N20</f>
        <v>9750</v>
      </c>
    </row>
    <row r="36" spans="1:14" ht="12" customHeight="1" x14ac:dyDescent="0.25">
      <c r="A36" s="63"/>
      <c r="B36" s="5"/>
      <c r="C36" s="7"/>
      <c r="E36" s="62"/>
      <c r="L36" s="2"/>
      <c r="M36" s="36"/>
      <c r="N36" s="3"/>
    </row>
    <row r="37" spans="1:14" ht="17.25" customHeight="1" x14ac:dyDescent="0.25">
      <c r="A37" s="63" t="s">
        <v>63</v>
      </c>
      <c r="B37" s="5"/>
      <c r="C37" s="7">
        <f>B41*B29/12</f>
        <v>2654.166666666667</v>
      </c>
      <c r="E37" s="62"/>
      <c r="L37" s="2"/>
      <c r="M37" s="36"/>
      <c r="N37" s="3"/>
    </row>
    <row r="38" spans="1:14" ht="9.75" customHeight="1" x14ac:dyDescent="0.25">
      <c r="A38" s="61"/>
      <c r="B38" s="2"/>
      <c r="C38" s="2"/>
      <c r="E38" s="62"/>
      <c r="L38" s="2"/>
      <c r="M38" s="2"/>
      <c r="N38" s="2"/>
    </row>
    <row r="39" spans="1:14" x14ac:dyDescent="0.25">
      <c r="A39" s="88"/>
      <c r="B39" s="99" t="s">
        <v>45</v>
      </c>
      <c r="C39" s="100"/>
      <c r="D39" s="75" t="s">
        <v>47</v>
      </c>
      <c r="E39" s="89" t="s">
        <v>48</v>
      </c>
      <c r="L39" s="8" t="s">
        <v>5</v>
      </c>
      <c r="M39" s="2"/>
      <c r="N39" s="2"/>
    </row>
    <row r="40" spans="1:14" x14ac:dyDescent="0.25">
      <c r="A40" s="88"/>
      <c r="B40" s="99" t="s">
        <v>46</v>
      </c>
      <c r="C40" s="100"/>
      <c r="D40" s="75" t="s">
        <v>49</v>
      </c>
      <c r="E40" s="89" t="s">
        <v>50</v>
      </c>
      <c r="L40" s="2" t="s">
        <v>40</v>
      </c>
      <c r="M40" s="36">
        <v>0.04</v>
      </c>
      <c r="N40" s="3">
        <f>M40*N19</f>
        <v>14000</v>
      </c>
    </row>
    <row r="41" spans="1:14" ht="14.25" customHeight="1" x14ac:dyDescent="0.25">
      <c r="A41" s="90" t="s">
        <v>67</v>
      </c>
      <c r="B41" s="101">
        <f>IF(R31&lt;=Sheet2!A1,C16-Sheet2!A2-Sheet2!A3,C13*B16)</f>
        <v>227500</v>
      </c>
      <c r="C41" s="102"/>
      <c r="D41" s="77" t="s">
        <v>51</v>
      </c>
      <c r="E41" s="91" t="s">
        <v>51</v>
      </c>
      <c r="L41" s="2" t="s">
        <v>38</v>
      </c>
      <c r="M41" s="12">
        <v>1.4999999999999999E-2</v>
      </c>
      <c r="N41" s="3">
        <f>C33</f>
        <v>4375</v>
      </c>
    </row>
    <row r="42" spans="1:14" x14ac:dyDescent="0.25">
      <c r="A42" s="90" t="s">
        <v>43</v>
      </c>
      <c r="B42" s="95">
        <f>IF(R31&lt;=Sheet2!A1,Sheet2!A2,Sheet2!A3)</f>
        <v>33100</v>
      </c>
      <c r="C42" s="96"/>
      <c r="D42" s="78">
        <f>C68</f>
        <v>125750</v>
      </c>
      <c r="E42" s="92">
        <f>C79</f>
        <v>251500</v>
      </c>
      <c r="L42" s="2" t="s">
        <v>41</v>
      </c>
      <c r="M42" s="10"/>
      <c r="N42" s="10"/>
    </row>
    <row r="43" spans="1:14" ht="12.75" hidden="1" customHeight="1" x14ac:dyDescent="0.25">
      <c r="A43" s="90" t="s">
        <v>12</v>
      </c>
      <c r="B43" s="74"/>
      <c r="C43" s="76">
        <f>C11+C12+C26</f>
        <v>260600</v>
      </c>
      <c r="D43" s="72"/>
      <c r="E43" s="91"/>
      <c r="L43" s="5" t="s">
        <v>7</v>
      </c>
      <c r="M43" s="5"/>
      <c r="N43" s="7">
        <f>SUM(N40:N42)</f>
        <v>18375</v>
      </c>
    </row>
    <row r="44" spans="1:14" x14ac:dyDescent="0.25">
      <c r="A44" s="93" t="s">
        <v>44</v>
      </c>
      <c r="B44" s="101">
        <f>IF(R31&lt;=Sheet2!A1,C43+C35+C29-Sheet2!A5,C43+C35+C29)</f>
        <v>310825</v>
      </c>
      <c r="C44" s="102"/>
      <c r="D44" s="72">
        <f>C70</f>
        <v>269875</v>
      </c>
      <c r="E44" s="91">
        <f>C82</f>
        <v>269875</v>
      </c>
      <c r="L44" s="2"/>
      <c r="M44" s="2"/>
      <c r="N44" s="2"/>
    </row>
    <row r="45" spans="1:14" x14ac:dyDescent="0.25">
      <c r="A45" s="90" t="s">
        <v>8</v>
      </c>
      <c r="B45" s="101">
        <f>C13</f>
        <v>350000</v>
      </c>
      <c r="C45" s="102"/>
      <c r="D45" s="72">
        <f>C13</f>
        <v>350000</v>
      </c>
      <c r="E45" s="91">
        <f>C13</f>
        <v>350000</v>
      </c>
      <c r="L45" s="25"/>
      <c r="M45" s="32"/>
      <c r="N45" s="28" t="s">
        <v>45</v>
      </c>
    </row>
    <row r="46" spans="1:14" x14ac:dyDescent="0.25">
      <c r="A46" s="90" t="s">
        <v>26</v>
      </c>
      <c r="B46" s="95">
        <f>B45-B44</f>
        <v>39175</v>
      </c>
      <c r="C46" s="96"/>
      <c r="D46" s="78">
        <f>C72</f>
        <v>40062.5</v>
      </c>
      <c r="E46" s="92">
        <f>C84</f>
        <v>80125</v>
      </c>
      <c r="L46" s="25"/>
      <c r="M46" s="34"/>
      <c r="N46" s="28" t="s">
        <v>46</v>
      </c>
    </row>
    <row r="47" spans="1:14" x14ac:dyDescent="0.25">
      <c r="A47" s="90" t="s">
        <v>16</v>
      </c>
      <c r="B47" s="97">
        <f>B46/B44</f>
        <v>0.12603555055095311</v>
      </c>
      <c r="C47" s="98"/>
      <c r="D47" s="79">
        <f>C73</f>
        <v>0.14844835572024084</v>
      </c>
      <c r="E47" s="94">
        <f>C85</f>
        <v>0.29689671144048169</v>
      </c>
      <c r="L47" s="26" t="s">
        <v>42</v>
      </c>
      <c r="M47" s="32"/>
      <c r="N47" s="29">
        <f>N22</f>
        <v>150000</v>
      </c>
    </row>
    <row r="48" spans="1:14" x14ac:dyDescent="0.25">
      <c r="A48" s="90" t="s">
        <v>17</v>
      </c>
      <c r="B48" s="97">
        <f>EFFECT(B46/B42,12/C14)</f>
        <v>1.1835347432024168</v>
      </c>
      <c r="C48" s="98"/>
      <c r="D48" s="79">
        <f>EFFECT(D46/D42,12/C14)</f>
        <v>0.31858846918489059</v>
      </c>
      <c r="E48" s="94">
        <f>EFFECT(E46/E42,12/C14)</f>
        <v>0.31858846918489059</v>
      </c>
      <c r="L48" s="26" t="s">
        <v>43</v>
      </c>
      <c r="M48" s="32"/>
      <c r="N48" s="30">
        <f>N17+N18+N32-N22</f>
        <v>101000</v>
      </c>
    </row>
    <row r="49" spans="1:14" ht="9.75" customHeight="1" x14ac:dyDescent="0.25">
      <c r="A49" s="40"/>
      <c r="E49" s="56" t="s">
        <v>52</v>
      </c>
      <c r="L49" s="26" t="s">
        <v>12</v>
      </c>
      <c r="M49" s="33"/>
      <c r="N49" s="29">
        <f>N17+N18+N32</f>
        <v>251000</v>
      </c>
    </row>
    <row r="50" spans="1:14" ht="14.25" customHeight="1" x14ac:dyDescent="0.25">
      <c r="A50" s="69" t="s">
        <v>31</v>
      </c>
      <c r="B50" s="70"/>
      <c r="C50" s="70"/>
      <c r="D50" s="70"/>
      <c r="E50" s="71"/>
      <c r="H50" s="1"/>
      <c r="I50" s="1"/>
      <c r="J50" s="1"/>
      <c r="K50" s="1"/>
      <c r="L50" s="27" t="s">
        <v>44</v>
      </c>
      <c r="M50" s="34"/>
      <c r="N50" s="29">
        <f>N49+N43+N35</f>
        <v>279125</v>
      </c>
    </row>
    <row r="51" spans="1:14" ht="12.75" customHeight="1" thickBot="1" x14ac:dyDescent="0.3">
      <c r="A51" s="42"/>
      <c r="B51" s="49"/>
      <c r="C51" s="67" t="s">
        <v>32</v>
      </c>
      <c r="D51" s="49"/>
      <c r="E51" s="68"/>
      <c r="H51" s="1"/>
      <c r="I51" s="1"/>
      <c r="J51" s="1"/>
      <c r="K51" s="1"/>
      <c r="L51" s="26" t="s">
        <v>8</v>
      </c>
      <c r="M51" s="32"/>
      <c r="N51" s="29">
        <f>N19</f>
        <v>350000</v>
      </c>
    </row>
    <row r="52" spans="1:14" s="11" customFormat="1" x14ac:dyDescent="0.25">
      <c r="A52" s="11" t="s">
        <v>27</v>
      </c>
      <c r="F52" s="15"/>
      <c r="G52" s="15"/>
      <c r="L52" s="26" t="s">
        <v>26</v>
      </c>
      <c r="M52" s="32"/>
      <c r="N52" s="30">
        <f>(N51-N50)/2</f>
        <v>35437.5</v>
      </c>
    </row>
    <row r="53" spans="1:14" s="11" customFormat="1" hidden="1" x14ac:dyDescent="0.25">
      <c r="A53" s="11" t="s">
        <v>6</v>
      </c>
      <c r="C53" s="20">
        <f>C65</f>
        <v>227500</v>
      </c>
      <c r="F53" s="15"/>
      <c r="G53" s="15"/>
      <c r="L53" s="26" t="s">
        <v>16</v>
      </c>
      <c r="M53" s="32"/>
      <c r="N53" s="31">
        <f>N52/N50</f>
        <v>0.12695924764890282</v>
      </c>
    </row>
    <row r="54" spans="1:14" s="11" customFormat="1" hidden="1" x14ac:dyDescent="0.25">
      <c r="A54" s="11" t="s">
        <v>12</v>
      </c>
      <c r="C54" s="20">
        <f>C11+C12+C19+C20+C21+C23</f>
        <v>251500</v>
      </c>
      <c r="F54" s="15"/>
      <c r="G54" s="15"/>
      <c r="L54" s="26" t="s">
        <v>17</v>
      </c>
      <c r="M54" s="34"/>
      <c r="N54" s="31">
        <f>EFFECT(N52/(N48+N35),12/N20)</f>
        <v>0.31997742663656892</v>
      </c>
    </row>
    <row r="55" spans="1:14" s="11" customFormat="1" hidden="1" x14ac:dyDescent="0.25">
      <c r="A55" s="11" t="s">
        <v>24</v>
      </c>
      <c r="C55" s="20">
        <f>C54</f>
        <v>251500</v>
      </c>
      <c r="F55" s="15"/>
      <c r="G55" s="15"/>
    </row>
    <row r="56" spans="1:14" s="11" customFormat="1" hidden="1" x14ac:dyDescent="0.25">
      <c r="A56" s="11" t="s">
        <v>11</v>
      </c>
      <c r="C56" s="20">
        <f>C54/3</f>
        <v>83833.333333333328</v>
      </c>
      <c r="F56" s="15"/>
      <c r="G56" s="15"/>
    </row>
    <row r="57" spans="1:14" s="11" customFormat="1" ht="30" hidden="1" customHeight="1" x14ac:dyDescent="0.25">
      <c r="A57" s="21" t="s">
        <v>23</v>
      </c>
      <c r="C57" s="20">
        <f>C54+C35</f>
        <v>269875</v>
      </c>
      <c r="F57" s="15"/>
      <c r="G57" s="15"/>
    </row>
    <row r="58" spans="1:14" s="11" customFormat="1" hidden="1" x14ac:dyDescent="0.25">
      <c r="A58" s="11" t="s">
        <v>8</v>
      </c>
      <c r="C58" s="22">
        <f>C71</f>
        <v>350000</v>
      </c>
      <c r="F58" s="15"/>
      <c r="G58" s="15"/>
    </row>
    <row r="59" spans="1:14" s="11" customFormat="1" hidden="1" x14ac:dyDescent="0.25">
      <c r="A59" s="11" t="b">
        <f>Sheet2!B16=190/250</f>
        <v>0</v>
      </c>
      <c r="C59" s="22">
        <f>(C58-C57)/3</f>
        <v>26708.333333333332</v>
      </c>
      <c r="E59" s="22"/>
      <c r="F59" s="15"/>
      <c r="G59" s="15"/>
    </row>
    <row r="60" spans="1:14" s="11" customFormat="1" hidden="1" x14ac:dyDescent="0.25">
      <c r="A60" s="11" t="s">
        <v>9</v>
      </c>
      <c r="C60" s="35">
        <f>C59/C57</f>
        <v>9.8965570480160567E-2</v>
      </c>
      <c r="F60" s="15"/>
      <c r="G60" s="15"/>
    </row>
    <row r="61" spans="1:14" s="11" customFormat="1" hidden="1" x14ac:dyDescent="0.25">
      <c r="A61" s="11" t="s">
        <v>17</v>
      </c>
      <c r="C61" s="35">
        <f>((C59+C56)/(C14/12))/C56</f>
        <v>1.3185884691848906</v>
      </c>
      <c r="F61" s="15"/>
      <c r="G61" s="15"/>
    </row>
    <row r="62" spans="1:14" s="11" customFormat="1" hidden="1" x14ac:dyDescent="0.25">
      <c r="F62" s="15"/>
      <c r="G62" s="15"/>
    </row>
    <row r="63" spans="1:14" s="11" customFormat="1" hidden="1" x14ac:dyDescent="0.25">
      <c r="A63" s="19" t="s">
        <v>28</v>
      </c>
      <c r="F63" s="15"/>
      <c r="G63" s="15"/>
    </row>
    <row r="64" spans="1:14" s="11" customFormat="1" hidden="1" x14ac:dyDescent="0.25">
      <c r="A64" s="11" t="s">
        <v>29</v>
      </c>
      <c r="F64" s="15"/>
      <c r="G64" s="15"/>
    </row>
    <row r="65" spans="1:7" s="11" customFormat="1" hidden="1" x14ac:dyDescent="0.25">
      <c r="A65" s="11" t="s">
        <v>6</v>
      </c>
      <c r="C65" s="20">
        <f>B41</f>
        <v>227500</v>
      </c>
      <c r="F65" s="15"/>
      <c r="G65" s="15"/>
    </row>
    <row r="66" spans="1:7" s="11" customFormat="1" hidden="1" x14ac:dyDescent="0.25">
      <c r="A66" s="11" t="s">
        <v>12</v>
      </c>
      <c r="C66" s="20">
        <f>C11+C12+C19+C20+C21+C23</f>
        <v>251500</v>
      </c>
      <c r="F66" s="15"/>
      <c r="G66" s="15"/>
    </row>
    <row r="67" spans="1:7" s="11" customFormat="1" hidden="1" x14ac:dyDescent="0.25">
      <c r="A67" s="11" t="s">
        <v>11</v>
      </c>
      <c r="C67" s="20">
        <f>C66</f>
        <v>251500</v>
      </c>
      <c r="F67" s="15"/>
      <c r="G67" s="15"/>
    </row>
    <row r="68" spans="1:7" s="11" customFormat="1" hidden="1" x14ac:dyDescent="0.25">
      <c r="A68" s="11" t="s">
        <v>25</v>
      </c>
      <c r="C68" s="20">
        <f>C67/2</f>
        <v>125750</v>
      </c>
      <c r="F68" s="15"/>
      <c r="G68" s="15"/>
    </row>
    <row r="69" spans="1:7" s="11" customFormat="1" hidden="1" x14ac:dyDescent="0.25">
      <c r="A69" s="11" t="s">
        <v>13</v>
      </c>
      <c r="C69" s="20"/>
      <c r="F69" s="15"/>
      <c r="G69" s="15"/>
    </row>
    <row r="70" spans="1:7" s="11" customFormat="1" hidden="1" x14ac:dyDescent="0.25">
      <c r="A70" s="11" t="s">
        <v>14</v>
      </c>
      <c r="C70" s="20">
        <f>C67+C35</f>
        <v>269875</v>
      </c>
      <c r="F70" s="15"/>
      <c r="G70" s="15"/>
    </row>
    <row r="71" spans="1:7" s="11" customFormat="1" hidden="1" x14ac:dyDescent="0.25">
      <c r="A71" s="11" t="s">
        <v>8</v>
      </c>
      <c r="C71" s="20">
        <f>B45</f>
        <v>350000</v>
      </c>
      <c r="F71" s="15"/>
      <c r="G71" s="15"/>
    </row>
    <row r="72" spans="1:7" s="11" customFormat="1" hidden="1" x14ac:dyDescent="0.25">
      <c r="A72" s="11" t="s">
        <v>15</v>
      </c>
      <c r="C72" s="22">
        <f>(C71-C70)/2</f>
        <v>40062.5</v>
      </c>
      <c r="F72" s="15"/>
      <c r="G72" s="15"/>
    </row>
    <row r="73" spans="1:7" s="11" customFormat="1" hidden="1" x14ac:dyDescent="0.25">
      <c r="A73" s="11" t="s">
        <v>9</v>
      </c>
      <c r="C73" s="35">
        <f>C72/C70</f>
        <v>0.14844835572024084</v>
      </c>
      <c r="F73" s="15"/>
      <c r="G73" s="15"/>
    </row>
    <row r="74" spans="1:7" s="11" customFormat="1" hidden="1" x14ac:dyDescent="0.25">
      <c r="A74" s="11" t="s">
        <v>17</v>
      </c>
      <c r="C74" s="35">
        <f>((C72+C68)/(C14/12)/C68)</f>
        <v>1.3185884691848906</v>
      </c>
      <c r="F74" s="15"/>
      <c r="G74" s="15"/>
    </row>
    <row r="75" spans="1:7" s="11" customFormat="1" hidden="1" x14ac:dyDescent="0.25">
      <c r="F75" s="15"/>
      <c r="G75" s="15"/>
    </row>
    <row r="76" spans="1:7" s="11" customFormat="1" hidden="1" x14ac:dyDescent="0.25">
      <c r="F76" s="15"/>
      <c r="G76" s="15"/>
    </row>
    <row r="77" spans="1:7" s="11" customFormat="1" hidden="1" x14ac:dyDescent="0.25">
      <c r="A77" s="19" t="s">
        <v>30</v>
      </c>
      <c r="F77" s="15"/>
      <c r="G77" s="15"/>
    </row>
    <row r="78" spans="1:7" s="11" customFormat="1" hidden="1" x14ac:dyDescent="0.25">
      <c r="A78" s="11" t="s">
        <v>6</v>
      </c>
      <c r="C78" s="20">
        <f>C53</f>
        <v>227500</v>
      </c>
      <c r="F78" s="15"/>
      <c r="G78" s="15"/>
    </row>
    <row r="79" spans="1:7" s="11" customFormat="1" hidden="1" x14ac:dyDescent="0.25">
      <c r="A79" s="11" t="s">
        <v>12</v>
      </c>
      <c r="C79" s="20">
        <f>C66</f>
        <v>251500</v>
      </c>
      <c r="F79" s="15"/>
      <c r="G79" s="15"/>
    </row>
    <row r="80" spans="1:7" s="11" customFormat="1" hidden="1" x14ac:dyDescent="0.25">
      <c r="A80" s="11" t="s">
        <v>11</v>
      </c>
      <c r="C80" s="20">
        <f>C79</f>
        <v>251500</v>
      </c>
      <c r="F80" s="15"/>
      <c r="G80" s="15"/>
    </row>
    <row r="81" spans="1:7" s="11" customFormat="1" hidden="1" x14ac:dyDescent="0.25">
      <c r="A81" s="11" t="s">
        <v>13</v>
      </c>
      <c r="C81" s="20"/>
      <c r="F81" s="15"/>
      <c r="G81" s="15"/>
    </row>
    <row r="82" spans="1:7" s="11" customFormat="1" hidden="1" x14ac:dyDescent="0.25">
      <c r="A82" s="11" t="s">
        <v>14</v>
      </c>
      <c r="C82" s="20">
        <f>C80+C35</f>
        <v>269875</v>
      </c>
      <c r="F82" s="15"/>
      <c r="G82" s="15"/>
    </row>
    <row r="83" spans="1:7" s="11" customFormat="1" hidden="1" x14ac:dyDescent="0.25">
      <c r="A83" s="11" t="s">
        <v>8</v>
      </c>
      <c r="C83" s="20">
        <f>C71</f>
        <v>350000</v>
      </c>
      <c r="F83" s="15"/>
      <c r="G83" s="15"/>
    </row>
    <row r="84" spans="1:7" s="11" customFormat="1" hidden="1" x14ac:dyDescent="0.25">
      <c r="A84" s="11" t="s">
        <v>15</v>
      </c>
      <c r="C84" s="22">
        <f>C83-C82</f>
        <v>80125</v>
      </c>
      <c r="F84" s="15"/>
      <c r="G84" s="15"/>
    </row>
    <row r="85" spans="1:7" s="11" customFormat="1" hidden="1" x14ac:dyDescent="0.25">
      <c r="A85" s="11" t="s">
        <v>9</v>
      </c>
      <c r="C85" s="35">
        <f>C84/C82</f>
        <v>0.29689671144048169</v>
      </c>
      <c r="F85" s="15"/>
      <c r="G85" s="15"/>
    </row>
    <row r="86" spans="1:7" s="11" customFormat="1" hidden="1" x14ac:dyDescent="0.25">
      <c r="A86" s="11" t="s">
        <v>17</v>
      </c>
      <c r="C86" s="35">
        <f>((C84+C80)/(C14/12)/C80)</f>
        <v>1.3185884691848906</v>
      </c>
      <c r="F86" s="15"/>
      <c r="G86" s="15"/>
    </row>
    <row r="87" spans="1:7" s="11" customFormat="1" hidden="1" x14ac:dyDescent="0.25">
      <c r="F87" s="15"/>
      <c r="G87" s="15"/>
    </row>
    <row r="88" spans="1:7" s="11" customFormat="1" hidden="1" x14ac:dyDescent="0.25">
      <c r="F88" s="15"/>
      <c r="G88" s="15"/>
    </row>
    <row r="89" spans="1:7" s="11" customFormat="1" hidden="1" x14ac:dyDescent="0.25">
      <c r="F89" s="15"/>
      <c r="G89" s="15"/>
    </row>
    <row r="90" spans="1:7" s="11" customFormat="1" hidden="1" x14ac:dyDescent="0.25">
      <c r="F90" s="15"/>
      <c r="G90" s="15"/>
    </row>
    <row r="91" spans="1:7" s="11" customFormat="1" hidden="1" x14ac:dyDescent="0.25">
      <c r="F91" s="15"/>
      <c r="G91" s="15"/>
    </row>
    <row r="92" spans="1:7" s="11" customFormat="1" hidden="1" x14ac:dyDescent="0.25">
      <c r="F92" s="15"/>
      <c r="G92" s="15"/>
    </row>
    <row r="93" spans="1:7" s="11" customFormat="1" hidden="1" x14ac:dyDescent="0.25">
      <c r="F93" s="15"/>
      <c r="G93" s="15"/>
    </row>
    <row r="94" spans="1:7" s="11" customFormat="1" hidden="1" x14ac:dyDescent="0.25">
      <c r="F94" s="15"/>
      <c r="G94" s="15"/>
    </row>
    <row r="95" spans="1:7" s="11" customFormat="1" hidden="1" x14ac:dyDescent="0.25">
      <c r="A95" s="23" t="s">
        <v>53</v>
      </c>
      <c r="F95" s="15"/>
      <c r="G95" s="15"/>
    </row>
    <row r="96" spans="1:7" s="11" customFormat="1" hidden="1" x14ac:dyDescent="0.25">
      <c r="C96" s="24" t="s">
        <v>54</v>
      </c>
      <c r="F96" s="15"/>
      <c r="G96" s="15"/>
    </row>
    <row r="97" hidden="1" x14ac:dyDescent="0.25"/>
    <row r="98" hidden="1" x14ac:dyDescent="0.25"/>
    <row r="99" hidden="1" x14ac:dyDescent="0.25"/>
    <row r="100" hidden="1" x14ac:dyDescent="0.25"/>
  </sheetData>
  <mergeCells count="9">
    <mergeCell ref="B46:C46"/>
    <mergeCell ref="B47:C47"/>
    <mergeCell ref="B48:C48"/>
    <mergeCell ref="B39:C39"/>
    <mergeCell ref="B40:C40"/>
    <mergeCell ref="B41:C41"/>
    <mergeCell ref="B42:C42"/>
    <mergeCell ref="B44:C44"/>
    <mergeCell ref="B45:C45"/>
  </mergeCells>
  <dataValidations count="1">
    <dataValidation type="list" allowBlank="1" showInputMessage="1" showErrorMessage="1" sqref="N7" xr:uid="{00000000-0002-0000-0000-000000000000}">
      <formula1>$M$2:$M$19</formula1>
    </dataValidation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7FCB347-F087-4A59-9AC2-0EF6EEF7CA1B}">
          <x14:formula1>
            <xm:f>Sheet2!$C$1:$C$5</xm:f>
          </x14:formula1>
          <xm:sqref>B25 B32</xm:sqref>
        </x14:dataValidation>
        <x14:dataValidation type="list" allowBlank="1" showInputMessage="1" showErrorMessage="1" xr:uid="{EC10B48C-FE36-4205-AF01-9FE347D7CA44}">
          <x14:formula1>
            <xm:f>Sheet2!$E$1:$E$6</xm:f>
          </x14:formula1>
          <xm:sqref>B29</xm:sqref>
        </x14:dataValidation>
        <x14:dataValidation type="list" allowBlank="1" showInputMessage="1" showErrorMessage="1" xr:uid="{FA7A770E-21E2-4809-A92A-FC76E9465D92}">
          <x14:formula1>
            <xm:f>Sheet2!$A$10:$A$19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G1" workbookViewId="0">
      <selection sqref="A1:F1048576"/>
    </sheetView>
  </sheetViews>
  <sheetFormatPr defaultRowHeight="15" x14ac:dyDescent="0.25"/>
  <cols>
    <col min="1" max="1" width="28" hidden="1" customWidth="1"/>
    <col min="2" max="6" width="0" hidden="1" customWidth="1"/>
  </cols>
  <sheetData>
    <row r="1" spans="1:5" x14ac:dyDescent="0.25">
      <c r="A1" s="48">
        <v>30000</v>
      </c>
      <c r="C1" s="80">
        <v>0.04</v>
      </c>
      <c r="E1" s="80">
        <v>0.14000000000000001</v>
      </c>
    </row>
    <row r="2" spans="1:5" x14ac:dyDescent="0.25">
      <c r="A2" s="48">
        <v>30000</v>
      </c>
      <c r="C2" s="81">
        <v>3.5000000000000003E-2</v>
      </c>
      <c r="E2" s="81">
        <v>0.13500000000000001</v>
      </c>
    </row>
    <row r="3" spans="1:5" ht="15.75" thickBot="1" x14ac:dyDescent="0.3">
      <c r="A3" s="43">
        <f>'Hard Money Calculator'!C11+'Hard Money Calculator'!C26+'Hard Money Calculator'!R30-'Hard Money Calculator'!C16</f>
        <v>33100</v>
      </c>
      <c r="C3" s="80">
        <v>0.03</v>
      </c>
      <c r="E3" s="80">
        <v>0.13</v>
      </c>
    </row>
    <row r="4" spans="1:5" x14ac:dyDescent="0.25">
      <c r="A4">
        <f>'Hard Money Calculator'!B41</f>
        <v>227500</v>
      </c>
      <c r="C4" s="81">
        <v>2.5000000000000001E-2</v>
      </c>
      <c r="E4" s="81">
        <v>0.125</v>
      </c>
    </row>
    <row r="5" spans="1:5" x14ac:dyDescent="0.25">
      <c r="A5">
        <v>3000</v>
      </c>
      <c r="C5" s="80">
        <v>0.02</v>
      </c>
      <c r="E5" s="80">
        <v>0.12</v>
      </c>
    </row>
    <row r="6" spans="1:5" x14ac:dyDescent="0.25">
      <c r="E6" s="81">
        <v>0.115</v>
      </c>
    </row>
    <row r="10" spans="1:5" x14ac:dyDescent="0.25">
      <c r="A10">
        <v>3</v>
      </c>
    </row>
    <row r="11" spans="1:5" x14ac:dyDescent="0.25">
      <c r="A11">
        <v>4</v>
      </c>
    </row>
    <row r="12" spans="1:5" x14ac:dyDescent="0.25">
      <c r="A12">
        <v>5</v>
      </c>
    </row>
    <row r="13" spans="1:5" x14ac:dyDescent="0.25">
      <c r="A13">
        <v>6</v>
      </c>
    </row>
    <row r="14" spans="1:5" x14ac:dyDescent="0.25">
      <c r="A14">
        <v>7</v>
      </c>
    </row>
    <row r="15" spans="1:5" x14ac:dyDescent="0.25">
      <c r="A15">
        <v>8</v>
      </c>
    </row>
    <row r="16" spans="1:5" x14ac:dyDescent="0.25">
      <c r="A16">
        <v>9</v>
      </c>
    </row>
    <row r="17" spans="1:1" x14ac:dyDescent="0.25">
      <c r="A17">
        <v>10</v>
      </c>
    </row>
    <row r="18" spans="1:1" x14ac:dyDescent="0.25">
      <c r="A18">
        <v>11</v>
      </c>
    </row>
    <row r="19" spans="1:1" x14ac:dyDescent="0.25">
      <c r="A19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Hard Money Calculator</vt:lpstr>
      <vt:lpstr>Sheet2</vt:lpstr>
      <vt:lpstr>Sheet3</vt:lpstr>
      <vt:lpstr>'Hard Money Calculator'!Print_Area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</dc:creator>
  <cp:lastModifiedBy>Anastasia</cp:lastModifiedBy>
  <cp:lastPrinted>2017-09-20T13:10:00Z</cp:lastPrinted>
  <dcterms:created xsi:type="dcterms:W3CDTF">2016-03-15T16:14:48Z</dcterms:created>
  <dcterms:modified xsi:type="dcterms:W3CDTF">2017-11-28T19:32:20Z</dcterms:modified>
</cp:coreProperties>
</file>